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en\Desktop\"/>
    </mc:Choice>
  </mc:AlternateContent>
  <xr:revisionPtr revIDLastSave="0" documentId="8_{7E34E7F3-433D-4D5C-BCF5-DBCEFA7DF2B3}" xr6:coauthVersionLast="47" xr6:coauthVersionMax="47" xr10:uidLastSave="{00000000-0000-0000-0000-000000000000}"/>
  <bookViews>
    <workbookView xWindow="-120" yWindow="-120" windowWidth="29040" windowHeight="15720" xr2:uid="{A83110AB-70B4-4BB7-B77D-F6A69817EC5B}"/>
  </bookViews>
  <sheets>
    <sheet name="input and results" sheetId="12" r:id="rId1"/>
    <sheet name="calculations" sheetId="1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1" l="1"/>
  <c r="F8" i="11"/>
  <c r="F4" i="11"/>
  <c r="I5" i="11"/>
  <c r="B6" i="11"/>
  <c r="F3" i="11"/>
  <c r="I4" i="11"/>
  <c r="B5" i="11"/>
  <c r="B4" i="11"/>
  <c r="B3" i="11"/>
  <c r="B2" i="11"/>
  <c r="A11" i="11"/>
  <c r="P11" i="11" s="1"/>
  <c r="P10" i="11"/>
  <c r="T35" i="11" l="1"/>
  <c r="F10" i="11"/>
  <c r="J10" i="11" s="1"/>
  <c r="A12" i="11"/>
  <c r="A13" i="11" s="1"/>
  <c r="A14" i="11" s="1"/>
  <c r="E10" i="11" l="1"/>
  <c r="G10" i="11" s="1"/>
  <c r="F11" i="11" s="1"/>
  <c r="E11" i="11" s="1"/>
  <c r="P12" i="11"/>
  <c r="P13" i="11"/>
  <c r="P14" i="11"/>
  <c r="A15" i="11"/>
  <c r="J11" i="11" l="1"/>
  <c r="K11" i="11" s="1"/>
  <c r="A16" i="11"/>
  <c r="P15" i="11"/>
  <c r="A17" i="11" l="1"/>
  <c r="P16" i="11"/>
  <c r="G11" i="11"/>
  <c r="F12" i="11" s="1"/>
  <c r="E12" i="11" s="1"/>
  <c r="A18" i="11" l="1"/>
  <c r="P17" i="11"/>
  <c r="J12" i="11"/>
  <c r="K12" i="11" s="1"/>
  <c r="P18" i="11" l="1"/>
  <c r="A19" i="11"/>
  <c r="G12" i="11"/>
  <c r="F13" i="11" s="1"/>
  <c r="E13" i="11" s="1"/>
  <c r="P19" i="11" l="1"/>
  <c r="A20" i="11"/>
  <c r="J13" i="11"/>
  <c r="K13" i="11" s="1"/>
  <c r="G13" i="11"/>
  <c r="F14" i="11" s="1"/>
  <c r="E14" i="11" s="1"/>
  <c r="G14" i="11" l="1"/>
  <c r="F15" i="11" s="1"/>
  <c r="E15" i="11" s="1"/>
  <c r="J14" i="11"/>
  <c r="K14" i="11" s="1"/>
  <c r="A21" i="11"/>
  <c r="P20" i="11"/>
  <c r="J15" i="11" l="1"/>
  <c r="K15" i="11" s="1"/>
  <c r="G15" i="11"/>
  <c r="F16" i="11" s="1"/>
  <c r="E16" i="11" s="1"/>
  <c r="A22" i="11"/>
  <c r="P21" i="11"/>
  <c r="J16" i="11" l="1"/>
  <c r="K16" i="11" s="1"/>
  <c r="P22" i="11"/>
  <c r="A23" i="11"/>
  <c r="G16" i="11" l="1"/>
  <c r="F17" i="11" s="1"/>
  <c r="E17" i="11" s="1"/>
  <c r="A24" i="11"/>
  <c r="P23" i="11"/>
  <c r="A25" i="11" l="1"/>
  <c r="P24" i="11"/>
  <c r="J17" i="11"/>
  <c r="K17" i="11" s="1"/>
  <c r="G17" i="11"/>
  <c r="F18" i="11" s="1"/>
  <c r="E18" i="11" s="1"/>
  <c r="G18" i="11" l="1"/>
  <c r="F19" i="11" s="1"/>
  <c r="E19" i="11" s="1"/>
  <c r="J18" i="11"/>
  <c r="K18" i="11" s="1"/>
  <c r="A26" i="11"/>
  <c r="P25" i="11"/>
  <c r="J19" i="11" l="1"/>
  <c r="K19" i="11" s="1"/>
  <c r="A27" i="11"/>
  <c r="P26" i="11"/>
  <c r="P27" i="11" l="1"/>
  <c r="A28" i="11"/>
  <c r="G19" i="11"/>
  <c r="F20" i="11" s="1"/>
  <c r="E20" i="11" s="1"/>
  <c r="J20" i="11" l="1"/>
  <c r="K20" i="11" s="1"/>
  <c r="A29" i="11"/>
  <c r="P28" i="11"/>
  <c r="A30" i="11" l="1"/>
  <c r="P29" i="11"/>
  <c r="G20" i="11"/>
  <c r="F21" i="11" s="1"/>
  <c r="E21" i="11" s="1"/>
  <c r="J21" i="11" l="1"/>
  <c r="K21" i="11" s="1"/>
  <c r="G21" i="11"/>
  <c r="F22" i="11" s="1"/>
  <c r="E22" i="11" s="1"/>
  <c r="P30" i="11"/>
  <c r="A31" i="11"/>
  <c r="G22" i="11" l="1"/>
  <c r="F23" i="11" s="1"/>
  <c r="E23" i="11" s="1"/>
  <c r="J22" i="11"/>
  <c r="K22" i="11" s="1"/>
  <c r="A32" i="11"/>
  <c r="P31" i="11"/>
  <c r="A33" i="11" l="1"/>
  <c r="P32" i="11"/>
  <c r="G23" i="11"/>
  <c r="F24" i="11" s="1"/>
  <c r="E24" i="11" s="1"/>
  <c r="J23" i="11"/>
  <c r="K23" i="11" s="1"/>
  <c r="J24" i="11" l="1"/>
  <c r="K24" i="11" s="1"/>
  <c r="A34" i="11"/>
  <c r="P34" i="11" s="1"/>
  <c r="P33" i="11"/>
  <c r="G24" i="11" l="1"/>
  <c r="F25" i="11" s="1"/>
  <c r="E25" i="11" s="1"/>
  <c r="J25" i="11" l="1"/>
  <c r="K25" i="11" s="1"/>
  <c r="G25" i="11"/>
  <c r="F26" i="11" s="1"/>
  <c r="E26" i="11" s="1"/>
  <c r="J26" i="11" l="1"/>
  <c r="K26" i="11" s="1"/>
  <c r="G26" i="11"/>
  <c r="F27" i="11" s="1"/>
  <c r="E27" i="11" s="1"/>
  <c r="J27" i="11" l="1"/>
  <c r="K27" i="11" s="1"/>
  <c r="G27" i="11" l="1"/>
  <c r="F28" i="11" s="1"/>
  <c r="E28" i="11" s="1"/>
  <c r="J28" i="11" l="1"/>
  <c r="K28" i="11" s="1"/>
  <c r="G28" i="11" l="1"/>
  <c r="F29" i="11" s="1"/>
  <c r="E29" i="11" s="1"/>
  <c r="J29" i="11" l="1"/>
  <c r="K29" i="11" s="1"/>
  <c r="G29" i="11"/>
  <c r="F30" i="11" s="1"/>
  <c r="E30" i="11" s="1"/>
  <c r="J30" i="11" l="1"/>
  <c r="K30" i="11" s="1"/>
  <c r="G30" i="11" l="1"/>
  <c r="F31" i="11" s="1"/>
  <c r="E31" i="11" s="1"/>
  <c r="J31" i="11" l="1"/>
  <c r="K31" i="11" s="1"/>
  <c r="G31" i="11" l="1"/>
  <c r="F32" i="11" s="1"/>
  <c r="E32" i="11" s="1"/>
  <c r="G32" i="11" l="1"/>
  <c r="F33" i="11" s="1"/>
  <c r="E33" i="11" s="1"/>
  <c r="J32" i="11"/>
  <c r="K32" i="11" s="1"/>
  <c r="J33" i="11" l="1"/>
  <c r="K33" i="11" s="1"/>
  <c r="G33" i="11"/>
  <c r="F34" i="11" s="1"/>
  <c r="E34" i="11" s="1"/>
  <c r="E35" i="11" l="1"/>
  <c r="T36" i="11" s="1"/>
  <c r="F5" i="12" s="1"/>
  <c r="J34" i="11"/>
  <c r="K34" i="11" s="1"/>
  <c r="K35" i="11" s="1"/>
  <c r="F7" i="12" s="1"/>
  <c r="G34" i="11" l="1"/>
  <c r="F5" i="11"/>
  <c r="D28" i="11" s="1"/>
  <c r="C30" i="11" l="1"/>
  <c r="D30" i="11"/>
  <c r="C28" i="11"/>
  <c r="D27" i="11"/>
  <c r="D14" i="11"/>
  <c r="C19" i="11"/>
  <c r="D20" i="11"/>
  <c r="D22" i="11"/>
  <c r="D26" i="11"/>
  <c r="C32" i="11"/>
  <c r="C11" i="11"/>
  <c r="C13" i="11"/>
  <c r="B10" i="11"/>
  <c r="C27" i="11"/>
  <c r="D31" i="11"/>
  <c r="C16" i="11"/>
  <c r="C24" i="11"/>
  <c r="D19" i="11"/>
  <c r="C23" i="11"/>
  <c r="D34" i="11"/>
  <c r="C17" i="11"/>
  <c r="C21" i="11"/>
  <c r="C14" i="11"/>
  <c r="D11" i="11"/>
  <c r="D23" i="11"/>
  <c r="D18" i="11"/>
  <c r="C34" i="11"/>
  <c r="C12" i="11"/>
  <c r="D29" i="11"/>
  <c r="C29" i="11"/>
  <c r="C15" i="11"/>
  <c r="D25" i="11"/>
  <c r="D21" i="11"/>
  <c r="D15" i="11"/>
  <c r="D13" i="11"/>
  <c r="D24" i="11"/>
  <c r="C31" i="11"/>
  <c r="C26" i="11"/>
  <c r="D32" i="11"/>
  <c r="C10" i="11"/>
  <c r="C22" i="11"/>
  <c r="D16" i="11"/>
  <c r="C25" i="11"/>
  <c r="D17" i="11"/>
  <c r="C33" i="11"/>
  <c r="C20" i="11"/>
  <c r="D10" i="11"/>
  <c r="C18" i="11"/>
  <c r="D33" i="11"/>
  <c r="D12" i="11"/>
  <c r="H10" i="11" l="1"/>
  <c r="B11" i="11"/>
  <c r="L10" i="11" l="1"/>
  <c r="I10" i="11"/>
  <c r="H11" i="11"/>
  <c r="L11" i="11" s="1"/>
  <c r="B12" i="11"/>
  <c r="H12" i="11" l="1"/>
  <c r="L12" i="11" s="1"/>
  <c r="M12" i="11" s="1"/>
  <c r="B13" i="11"/>
  <c r="M11" i="11"/>
  <c r="Q10" i="11"/>
  <c r="I11" i="11"/>
  <c r="Q11" i="11" l="1"/>
  <c r="I12" i="11"/>
  <c r="H13" i="11"/>
  <c r="L13" i="11" s="1"/>
  <c r="M13" i="11" s="1"/>
  <c r="B14" i="11"/>
  <c r="H14" i="11" l="1"/>
  <c r="L14" i="11" s="1"/>
  <c r="M14" i="11" s="1"/>
  <c r="B15" i="11"/>
  <c r="Q12" i="11"/>
  <c r="I13" i="11"/>
  <c r="Q13" i="11" l="1"/>
  <c r="I14" i="11"/>
  <c r="B16" i="11"/>
  <c r="H15" i="11"/>
  <c r="L15" i="11" s="1"/>
  <c r="M15" i="11" s="1"/>
  <c r="H16" i="11" l="1"/>
  <c r="L16" i="11" s="1"/>
  <c r="M16" i="11" s="1"/>
  <c r="B17" i="11"/>
  <c r="I15" i="11"/>
  <c r="Q14" i="11"/>
  <c r="Q15" i="11" l="1"/>
  <c r="I16" i="11"/>
  <c r="B18" i="11"/>
  <c r="H17" i="11"/>
  <c r="L17" i="11" s="1"/>
  <c r="M17" i="11" s="1"/>
  <c r="H18" i="11" l="1"/>
  <c r="L18" i="11" s="1"/>
  <c r="M18" i="11" s="1"/>
  <c r="B19" i="11"/>
  <c r="I17" i="11"/>
  <c r="Q16" i="11"/>
  <c r="I18" i="11" l="1"/>
  <c r="Q17" i="11"/>
  <c r="H19" i="11"/>
  <c r="L19" i="11" s="1"/>
  <c r="M19" i="11" s="1"/>
  <c r="B20" i="11"/>
  <c r="H20" i="11" l="1"/>
  <c r="L20" i="11" s="1"/>
  <c r="M20" i="11" s="1"/>
  <c r="B21" i="11"/>
  <c r="I19" i="11"/>
  <c r="Q18" i="11"/>
  <c r="Q19" i="11" l="1"/>
  <c r="I20" i="11"/>
  <c r="H21" i="11"/>
  <c r="L21" i="11" s="1"/>
  <c r="M21" i="11" s="1"/>
  <c r="B22" i="11"/>
  <c r="H22" i="11" l="1"/>
  <c r="L22" i="11" s="1"/>
  <c r="M22" i="11" s="1"/>
  <c r="B23" i="11"/>
  <c r="Q20" i="11"/>
  <c r="I21" i="11"/>
  <c r="I22" i="11" l="1"/>
  <c r="Q21" i="11"/>
  <c r="B24" i="11"/>
  <c r="H23" i="11"/>
  <c r="L23" i="11" s="1"/>
  <c r="M23" i="11" s="1"/>
  <c r="H24" i="11" l="1"/>
  <c r="L24" i="11" s="1"/>
  <c r="M24" i="11" s="1"/>
  <c r="B25" i="11"/>
  <c r="Q22" i="11"/>
  <c r="I23" i="11"/>
  <c r="H25" i="11" l="1"/>
  <c r="L25" i="11" s="1"/>
  <c r="M25" i="11" s="1"/>
  <c r="B26" i="11"/>
  <c r="Q23" i="11"/>
  <c r="I24" i="11"/>
  <c r="B27" i="11" l="1"/>
  <c r="H26" i="11"/>
  <c r="L26" i="11" s="1"/>
  <c r="M26" i="11" s="1"/>
  <c r="Q24" i="11"/>
  <c r="I25" i="11"/>
  <c r="I26" i="11" l="1"/>
  <c r="Q25" i="11"/>
  <c r="B28" i="11"/>
  <c r="H27" i="11"/>
  <c r="L27" i="11" s="1"/>
  <c r="M27" i="11" s="1"/>
  <c r="H28" i="11" l="1"/>
  <c r="L28" i="11" s="1"/>
  <c r="M28" i="11" s="1"/>
  <c r="B29" i="11"/>
  <c r="Q26" i="11"/>
  <c r="I27" i="11"/>
  <c r="I28" i="11" l="1"/>
  <c r="Q27" i="11"/>
  <c r="H29" i="11"/>
  <c r="L29" i="11" s="1"/>
  <c r="M29" i="11" s="1"/>
  <c r="B30" i="11"/>
  <c r="H30" i="11" l="1"/>
  <c r="L30" i="11" s="1"/>
  <c r="M30" i="11" s="1"/>
  <c r="B31" i="11"/>
  <c r="Q28" i="11"/>
  <c r="I29" i="11"/>
  <c r="B32" i="11" l="1"/>
  <c r="H31" i="11"/>
  <c r="L31" i="11" s="1"/>
  <c r="M31" i="11" s="1"/>
  <c r="I30" i="11"/>
  <c r="Q29" i="11"/>
  <c r="I31" i="11" l="1"/>
  <c r="Q30" i="11"/>
  <c r="H32" i="11"/>
  <c r="L32" i="11" s="1"/>
  <c r="M32" i="11" s="1"/>
  <c r="B33" i="11"/>
  <c r="H33" i="11" l="1"/>
  <c r="L33" i="11" s="1"/>
  <c r="M33" i="11" s="1"/>
  <c r="B34" i="11"/>
  <c r="H34" i="11" s="1"/>
  <c r="L34" i="11" s="1"/>
  <c r="Q31" i="11"/>
  <c r="I32" i="11"/>
  <c r="M34" i="11" l="1"/>
  <c r="M35" i="11" s="1"/>
  <c r="F6" i="12" s="1"/>
  <c r="Q32" i="11"/>
  <c r="I33" i="11"/>
  <c r="Q33" i="11" l="1"/>
  <c r="I34" i="11"/>
  <c r="H36" i="11" l="1"/>
  <c r="F8" i="12" s="1"/>
  <c r="Q34" i="11"/>
</calcChain>
</file>

<file path=xl/sharedStrings.xml><?xml version="1.0" encoding="utf-8"?>
<sst xmlns="http://schemas.openxmlformats.org/spreadsheetml/2006/main" count="64" uniqueCount="64">
  <si>
    <t>base cost up front</t>
  </si>
  <si>
    <t>cost of finance</t>
  </si>
  <si>
    <t>END of YEAR</t>
  </si>
  <si>
    <t>PAYBACK on LOAN</t>
  </si>
  <si>
    <t>payback pa</t>
  </si>
  <si>
    <t>LOAN REMAINING</t>
  </si>
  <si>
    <t>SAVING</t>
  </si>
  <si>
    <t>battery cost (ex inverter)</t>
  </si>
  <si>
    <t>battery % added</t>
  </si>
  <si>
    <t>Export income per unit £ (for not used)</t>
  </si>
  <si>
    <t>Unit cost of elec at 2023</t>
  </si>
  <si>
    <t>base generation pa in units</t>
  </si>
  <si>
    <t>Battery system bought YES=1</t>
  </si>
  <si>
    <t>Inflation of Elec price</t>
  </si>
  <si>
    <t>UNITS OF SOLAR USED pa</t>
  </si>
  <si>
    <t>UNITS EXPORTED pa</t>
  </si>
  <si>
    <t>INTEREST pa</t>
  </si>
  <si>
    <t>year of payback</t>
  </si>
  <si>
    <t>Life of panels estimated to be 25yrs, so pessimistically take 20yrs</t>
  </si>
  <si>
    <t>net saving</t>
  </si>
  <si>
    <t>BASE SCENARIO with BATTERIES</t>
  </si>
  <si>
    <t>LOAN for full amount YES=1</t>
  </si>
  <si>
    <t>TOTAL net  RETURN</t>
  </si>
  <si>
    <t>return goes +ve</t>
  </si>
  <si>
    <t>paid off loan yr</t>
  </si>
  <si>
    <t>Net Return</t>
  </si>
  <si>
    <t>NET RETURN for year (saving-interest-loan paid back)</t>
  </si>
  <si>
    <t>COST of EQUIPMENT PURCHASED + INTEREST</t>
  </si>
  <si>
    <t>COST OF EQUIPMENT</t>
  </si>
  <si>
    <t>DATA FOR BAR CHART</t>
  </si>
  <si>
    <t>WE WILL ASSUME YOU WILL BE BUYING 4KW OF PANELS, AND IF ADDING A BATTERY SYSTEM THEN THIS WILL MATCH THE SOLAR PANELS</t>
  </si>
  <si>
    <t>How much will your battery system cost?</t>
  </si>
  <si>
    <t>you might get a bank loan or extend your mortgage</t>
  </si>
  <si>
    <t>COST OF EQUIPMENT + INTEREST</t>
  </si>
  <si>
    <t>YEAR RETURN GOES POSITIVE</t>
  </si>
  <si>
    <t>YEAR PAID OFF LOAN</t>
  </si>
  <si>
    <t>NET RETURN AFTER 25YRS</t>
  </si>
  <si>
    <t>RESULTS</t>
  </si>
  <si>
    <t>DO NOT CHANGE ANY OF THE DATA TO THE LEFT OTHER THAN THOSE IN RED (THE REST TRACK FROM 1ST TAB)</t>
  </si>
  <si>
    <t>How much are you expecting your electricity supplier to pay you for your exported units (in pence/unit)?</t>
  </si>
  <si>
    <t>4kW of panels typically generate 3600 kWh pa in Marshfield</t>
  </si>
  <si>
    <t>You might like to try several estimates and see what impact it has - it is very difficult to predict in these uncertain times!</t>
  </si>
  <si>
    <t>You might try several different amounts (this is not relevant if you are NOT taking out a loan)</t>
  </si>
  <si>
    <t>A battery system can cost around £2-3000</t>
  </si>
  <si>
    <t>In Marshfield, several households have paid £5-6,000 for 4kW of panels (inc cost of installation and inverter)</t>
  </si>
  <si>
    <t>Prop of generated used</t>
  </si>
  <si>
    <t>Out all day (1)</t>
  </si>
  <si>
    <t>Prop used if out all day</t>
  </si>
  <si>
    <t>Lendology.org.uk will currently lend at 4.2%, but you might like to make your own arrangements</t>
  </si>
  <si>
    <t>For example the house may be empty because at work elsewhere</t>
  </si>
  <si>
    <t>PLEASE COMPLETE THE FOLLOWING BOXES (the values currently shown are some typical data - please use your own estimates)</t>
  </si>
  <si>
    <t>This rate can vary significantly, but is often 5p per kWh(unit), however some suppliers are suggesting they might pay up to 35p/unit.  If you change thedata in this box you will see that it can have a significant impact!</t>
  </si>
  <si>
    <r>
      <t xml:space="preserve">Is the house empty all day? </t>
    </r>
    <r>
      <rPr>
        <b/>
        <sz val="11"/>
        <color theme="1"/>
        <rFont val="Calibri"/>
        <family val="2"/>
        <scheme val="minor"/>
      </rPr>
      <t>If yes enter 1</t>
    </r>
  </si>
  <si>
    <r>
      <t xml:space="preserve">If so, what rate on interest will you be paying </t>
    </r>
    <r>
      <rPr>
        <b/>
        <sz val="11"/>
        <color theme="1"/>
        <rFont val="Calibri"/>
        <family val="2"/>
        <scheme val="minor"/>
      </rPr>
      <t>(%)</t>
    </r>
    <r>
      <rPr>
        <sz val="11"/>
        <color theme="1"/>
        <rFont val="Calibri"/>
        <family val="2"/>
        <scheme val="minor"/>
      </rPr>
      <t>?</t>
    </r>
  </si>
  <si>
    <r>
      <t xml:space="preserve">Will you take out a loan for the cost? </t>
    </r>
    <r>
      <rPr>
        <b/>
        <sz val="11"/>
        <color theme="1"/>
        <rFont val="Calibri"/>
        <family val="2"/>
        <scheme val="minor"/>
      </rPr>
      <t>If yes enter 1</t>
    </r>
  </si>
  <si>
    <r>
      <t xml:space="preserve">Are you adding a battery system? </t>
    </r>
    <r>
      <rPr>
        <b/>
        <sz val="11"/>
        <color theme="1"/>
        <rFont val="Calibri"/>
        <family val="2"/>
        <scheme val="minor"/>
      </rPr>
      <t>If yes enter 1</t>
    </r>
  </si>
  <si>
    <r>
      <t xml:space="preserve">How much will your solar panels cost </t>
    </r>
    <r>
      <rPr>
        <b/>
        <sz val="11"/>
        <color theme="1"/>
        <rFont val="Calibri"/>
        <family val="2"/>
        <scheme val="minor"/>
      </rPr>
      <t>(£)</t>
    </r>
    <r>
      <rPr>
        <sz val="11"/>
        <color theme="1"/>
        <rFont val="Calibri"/>
        <family val="2"/>
        <scheme val="minor"/>
      </rPr>
      <t>?</t>
    </r>
  </si>
  <si>
    <r>
      <t>What does your supplier of your panels expect you to generate per annum (</t>
    </r>
    <r>
      <rPr>
        <b/>
        <sz val="11"/>
        <color theme="1"/>
        <rFont val="Calibri"/>
        <family val="2"/>
        <scheme val="minor"/>
      </rPr>
      <t>in kWh</t>
    </r>
    <r>
      <rPr>
        <sz val="11"/>
        <color theme="1"/>
        <rFont val="Calibri"/>
        <family val="2"/>
        <scheme val="minor"/>
      </rPr>
      <t>), or enter your own estimate?</t>
    </r>
  </si>
  <si>
    <r>
      <t>How much will you pay back against the loan each year (</t>
    </r>
    <r>
      <rPr>
        <b/>
        <sz val="11"/>
        <color theme="1"/>
        <rFont val="Calibri"/>
        <family val="2"/>
        <scheme val="minor"/>
      </rPr>
      <t>£ pa</t>
    </r>
    <r>
      <rPr>
        <sz val="11"/>
        <color theme="1"/>
        <rFont val="Calibri"/>
        <family val="2"/>
        <scheme val="minor"/>
      </rPr>
      <t>)?</t>
    </r>
  </si>
  <si>
    <r>
      <t>What is your expectation of whether electricity costs will rise in the future - put in your own estimate of % increase per annum (the default setting is for no change, which means electricity rices will drop by inflation each year (</t>
    </r>
    <r>
      <rPr>
        <b/>
        <sz val="11"/>
        <color theme="1"/>
        <rFont val="Calibri"/>
        <family val="2"/>
        <scheme val="minor"/>
      </rPr>
      <t>enter % increase per annum</t>
    </r>
    <r>
      <rPr>
        <sz val="11"/>
        <color theme="1"/>
        <rFont val="Calibri"/>
        <family val="2"/>
        <scheme val="minor"/>
      </rPr>
      <t xml:space="preserve"> - for example if you think prices will rise by 5% per annum then enter 5)</t>
    </r>
  </si>
  <si>
    <t>How much are you currently paying for a kWh (unit) of electricity 9in pence per unit)</t>
  </si>
  <si>
    <t>Many of us are paying 35p but estimates suggest this might come down to 32p per unit</t>
  </si>
  <si>
    <t>People in house (NOT USED)</t>
  </si>
  <si>
    <t>Max Prop of SOLAR generated used (residents at home all day) with rest exported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</si>
</sst>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6" fillId="0" borderId="0" xfId="0" applyNumberFormat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0" fontId="1" fillId="0" borderId="9" xfId="0" applyFont="1" applyBorder="1" applyAlignment="1">
      <alignment wrapText="1"/>
    </xf>
    <xf numFmtId="0" fontId="0" fillId="0" borderId="10" xfId="0" applyBorder="1"/>
    <xf numFmtId="0" fontId="1" fillId="0" borderId="9" xfId="0" applyFont="1" applyBorder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14" xfId="0" applyBorder="1"/>
    <xf numFmtId="0" fontId="0" fillId="0" borderId="12" xfId="0" applyBorder="1"/>
    <xf numFmtId="164" fontId="6" fillId="0" borderId="3" xfId="1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0" fontId="11" fillId="0" borderId="0" xfId="0" applyNumberFormat="1" applyFont="1"/>
    <xf numFmtId="164" fontId="11" fillId="0" borderId="0" xfId="0" applyNumberFormat="1" applyFont="1"/>
    <xf numFmtId="3" fontId="12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0" fontId="11" fillId="0" borderId="0" xfId="0" applyFont="1"/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6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Total</a:t>
            </a:r>
            <a:r>
              <a:rPr lang="en-GB" b="1" baseline="0"/>
              <a:t> Net Return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calculations!$P$10:$P$34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calculations!$Q$10:$Q$34</c:f>
              <c:numCache>
                <c:formatCode>"£"#,##0</c:formatCode>
                <c:ptCount val="25"/>
                <c:pt idx="0">
                  <c:v>-357.4</c:v>
                </c:pt>
                <c:pt idx="1">
                  <c:v>-686.03</c:v>
                </c:pt>
                <c:pt idx="2">
                  <c:v>-984.68165999999997</c:v>
                </c:pt>
                <c:pt idx="3">
                  <c:v>-1252.0958897199998</c:v>
                </c:pt>
                <c:pt idx="4">
                  <c:v>-1486.9607170882398</c:v>
                </c:pt>
                <c:pt idx="5">
                  <c:v>-1687.9090672059458</c:v>
                </c:pt>
                <c:pt idx="6">
                  <c:v>-1853.5164480285955</c:v>
                </c:pt>
                <c:pt idx="7">
                  <c:v>-1982.2985388457964</c:v>
                </c:pt>
                <c:pt idx="8">
                  <c:v>-2072.7086774773197</c:v>
                </c:pt>
                <c:pt idx="9">
                  <c:v>-1322.2704838627342</c:v>
                </c:pt>
                <c:pt idx="10">
                  <c:v>-364.67048386273416</c:v>
                </c:pt>
                <c:pt idx="11">
                  <c:v>592.92951613726586</c:v>
                </c:pt>
                <c:pt idx="12">
                  <c:v>1550.529516137266</c:v>
                </c:pt>
                <c:pt idx="13">
                  <c:v>2508.1295161372659</c:v>
                </c:pt>
                <c:pt idx="14">
                  <c:v>3465.7295161372658</c:v>
                </c:pt>
                <c:pt idx="15">
                  <c:v>4423.3295161372662</c:v>
                </c:pt>
                <c:pt idx="16">
                  <c:v>5380.9295161372665</c:v>
                </c:pt>
                <c:pt idx="17">
                  <c:v>6338.5295161372669</c:v>
                </c:pt>
                <c:pt idx="18">
                  <c:v>7296.1295161372673</c:v>
                </c:pt>
                <c:pt idx="19">
                  <c:v>8253.7295161372676</c:v>
                </c:pt>
                <c:pt idx="20">
                  <c:v>9211.329516137268</c:v>
                </c:pt>
                <c:pt idx="21">
                  <c:v>10168.929516137268</c:v>
                </c:pt>
                <c:pt idx="22">
                  <c:v>11126.529516137269</c:v>
                </c:pt>
                <c:pt idx="23">
                  <c:v>12084.129516137269</c:v>
                </c:pt>
                <c:pt idx="24">
                  <c:v>13041.729516137269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0-4DC9-817B-609A24E4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165472"/>
        <c:axId val="1795902768"/>
      </c:barChart>
      <c:catAx>
        <c:axId val="35316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902768"/>
        <c:crosses val="autoZero"/>
        <c:auto val="1"/>
        <c:lblAlgn val="ctr"/>
        <c:lblOffset val="100"/>
        <c:noMultiLvlLbl val="0"/>
      </c:catAx>
      <c:valAx>
        <c:axId val="179590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16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'Out</a:t>
            </a:r>
            <a:r>
              <a:rPr lang="en-GB" b="1" baseline="0"/>
              <a:t> of Pocket'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calculations!$P$10:$P$34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calculations!$Q$10:$Q$34</c:f>
              <c:numCache>
                <c:formatCode>"£"#,##0</c:formatCode>
                <c:ptCount val="25"/>
                <c:pt idx="0">
                  <c:v>-357.4</c:v>
                </c:pt>
                <c:pt idx="1">
                  <c:v>-686.03</c:v>
                </c:pt>
                <c:pt idx="2">
                  <c:v>-984.68165999999997</c:v>
                </c:pt>
                <c:pt idx="3">
                  <c:v>-1252.0958897199998</c:v>
                </c:pt>
                <c:pt idx="4">
                  <c:v>-1486.9607170882398</c:v>
                </c:pt>
                <c:pt idx="5">
                  <c:v>-1687.9090672059458</c:v>
                </c:pt>
                <c:pt idx="6">
                  <c:v>-1853.5164480285955</c:v>
                </c:pt>
                <c:pt idx="7">
                  <c:v>-1982.2985388457964</c:v>
                </c:pt>
                <c:pt idx="8">
                  <c:v>-2072.7086774773197</c:v>
                </c:pt>
                <c:pt idx="9">
                  <c:v>-1322.2704838627342</c:v>
                </c:pt>
                <c:pt idx="10">
                  <c:v>-364.67048386273416</c:v>
                </c:pt>
                <c:pt idx="11">
                  <c:v>592.92951613726586</c:v>
                </c:pt>
                <c:pt idx="12">
                  <c:v>1550.529516137266</c:v>
                </c:pt>
                <c:pt idx="13">
                  <c:v>2508.1295161372659</c:v>
                </c:pt>
                <c:pt idx="14">
                  <c:v>3465.7295161372658</c:v>
                </c:pt>
                <c:pt idx="15">
                  <c:v>4423.3295161372662</c:v>
                </c:pt>
                <c:pt idx="16">
                  <c:v>5380.9295161372665</c:v>
                </c:pt>
                <c:pt idx="17">
                  <c:v>6338.5295161372669</c:v>
                </c:pt>
                <c:pt idx="18">
                  <c:v>7296.1295161372673</c:v>
                </c:pt>
                <c:pt idx="19">
                  <c:v>8253.7295161372676</c:v>
                </c:pt>
                <c:pt idx="20">
                  <c:v>9211.329516137268</c:v>
                </c:pt>
                <c:pt idx="21">
                  <c:v>10168.929516137268</c:v>
                </c:pt>
                <c:pt idx="22">
                  <c:v>11126.529516137269</c:v>
                </c:pt>
                <c:pt idx="23">
                  <c:v>12084.129516137269</c:v>
                </c:pt>
                <c:pt idx="24">
                  <c:v>13041.729516137269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0-48DA-BC0F-0BB8392A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165472"/>
        <c:axId val="1795902768"/>
      </c:barChart>
      <c:catAx>
        <c:axId val="35316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902768"/>
        <c:crosses val="autoZero"/>
        <c:auto val="1"/>
        <c:lblAlgn val="ctr"/>
        <c:lblOffset val="100"/>
        <c:noMultiLvlLbl val="0"/>
      </c:catAx>
      <c:valAx>
        <c:axId val="179590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16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8</xdr:row>
      <xdr:rowOff>66675</xdr:rowOff>
    </xdr:from>
    <xdr:to>
      <xdr:col>12</xdr:col>
      <xdr:colOff>561975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EEEA88-9CF2-49C8-B31E-9C8F9270B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8</xdr:row>
      <xdr:rowOff>190499</xdr:rowOff>
    </xdr:from>
    <xdr:to>
      <xdr:col>24</xdr:col>
      <xdr:colOff>123825</xdr:colOff>
      <xdr:row>30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FE499D-155F-1DA9-69F1-F25FF8C32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847B1-245E-42A3-B046-A4E94F746B66}">
  <dimension ref="A1:M26"/>
  <sheetViews>
    <sheetView tabSelected="1" topLeftCell="A5" workbookViewId="0">
      <selection activeCell="C14" sqref="C14"/>
    </sheetView>
  </sheetViews>
  <sheetFormatPr defaultRowHeight="15" x14ac:dyDescent="0.25"/>
  <cols>
    <col min="1" max="1" width="47.7109375" customWidth="1"/>
    <col min="2" max="2" width="14.140625" customWidth="1"/>
    <col min="3" max="3" width="43.85546875" customWidth="1"/>
    <col min="5" max="5" width="28" customWidth="1"/>
    <col min="6" max="6" width="13.5703125" customWidth="1"/>
  </cols>
  <sheetData>
    <row r="1" spans="1:13" ht="38.25" customHeight="1" x14ac:dyDescent="0.3">
      <c r="A1" s="65" t="s">
        <v>30</v>
      </c>
      <c r="B1" s="66"/>
      <c r="C1" s="67"/>
      <c r="D1" s="22"/>
    </row>
    <row r="2" spans="1:13" x14ac:dyDescent="0.25">
      <c r="A2" s="24"/>
      <c r="C2" s="29"/>
    </row>
    <row r="3" spans="1:13" ht="15.75" thickBot="1" x14ac:dyDescent="0.3">
      <c r="A3" s="24"/>
      <c r="C3" s="41"/>
    </row>
    <row r="4" spans="1:13" ht="38.25" customHeight="1" thickBot="1" x14ac:dyDescent="0.3">
      <c r="A4" s="62" t="s">
        <v>50</v>
      </c>
      <c r="B4" s="63"/>
      <c r="C4" s="64"/>
      <c r="E4" s="59" t="s">
        <v>37</v>
      </c>
      <c r="F4" s="60"/>
      <c r="G4" s="60"/>
      <c r="H4" s="60"/>
      <c r="I4" s="60"/>
      <c r="J4" s="60"/>
      <c r="K4" s="60"/>
      <c r="L4" s="60"/>
      <c r="M4" s="61"/>
    </row>
    <row r="5" spans="1:13" ht="46.5" thickBot="1" x14ac:dyDescent="0.35">
      <c r="A5" s="42" t="s">
        <v>56</v>
      </c>
      <c r="B5" s="35">
        <v>5500</v>
      </c>
      <c r="C5" s="43" t="s">
        <v>44</v>
      </c>
      <c r="E5" s="28" t="s">
        <v>33</v>
      </c>
      <c r="F5" s="23">
        <f>calculations!T36</f>
        <v>9199.135241931368</v>
      </c>
      <c r="M5" s="29"/>
    </row>
    <row r="6" spans="1:13" ht="19.5" thickBot="1" x14ac:dyDescent="0.35">
      <c r="A6" s="42" t="s">
        <v>55</v>
      </c>
      <c r="B6" s="36">
        <v>1</v>
      </c>
      <c r="C6" s="43" t="s">
        <v>43</v>
      </c>
      <c r="E6" s="30" t="s">
        <v>34</v>
      </c>
      <c r="F6" s="31">
        <f>calculations!M35</f>
        <v>10</v>
      </c>
      <c r="M6" s="29"/>
    </row>
    <row r="7" spans="1:13" ht="19.5" thickBot="1" x14ac:dyDescent="0.35">
      <c r="A7" s="42" t="s">
        <v>31</v>
      </c>
      <c r="B7" s="37">
        <v>2000</v>
      </c>
      <c r="C7" s="43"/>
      <c r="E7" s="30" t="s">
        <v>35</v>
      </c>
      <c r="F7" s="31">
        <f>calculations!K35</f>
        <v>11</v>
      </c>
      <c r="M7" s="29"/>
    </row>
    <row r="8" spans="1:13" ht="47.25" thickBot="1" x14ac:dyDescent="0.4">
      <c r="A8" s="42" t="s">
        <v>57</v>
      </c>
      <c r="B8" s="38">
        <v>3600</v>
      </c>
      <c r="C8" s="43" t="s">
        <v>40</v>
      </c>
      <c r="E8" s="30" t="s">
        <v>36</v>
      </c>
      <c r="F8" s="32">
        <f>calculations!H36</f>
        <v>13041.729516137269</v>
      </c>
      <c r="M8" s="29"/>
    </row>
    <row r="9" spans="1:13" ht="30.75" thickBot="1" x14ac:dyDescent="0.3">
      <c r="A9" s="42" t="s">
        <v>54</v>
      </c>
      <c r="B9" s="38">
        <v>1</v>
      </c>
      <c r="C9" s="54" t="s">
        <v>32</v>
      </c>
      <c r="E9" s="24"/>
      <c r="M9" s="29"/>
    </row>
    <row r="10" spans="1:13" ht="45.75" thickBot="1" x14ac:dyDescent="0.3">
      <c r="A10" s="42" t="s">
        <v>53</v>
      </c>
      <c r="B10" s="39">
        <v>4.2000000000000003E-2</v>
      </c>
      <c r="C10" s="43" t="s">
        <v>48</v>
      </c>
      <c r="E10" s="24"/>
      <c r="M10" s="29"/>
    </row>
    <row r="11" spans="1:13" ht="30.75" thickBot="1" x14ac:dyDescent="0.3">
      <c r="A11" s="42" t="s">
        <v>52</v>
      </c>
      <c r="B11" s="58">
        <v>0</v>
      </c>
      <c r="C11" s="43" t="s">
        <v>49</v>
      </c>
      <c r="E11" s="24"/>
      <c r="M11" s="29"/>
    </row>
    <row r="12" spans="1:13" ht="30.75" thickBot="1" x14ac:dyDescent="0.3">
      <c r="A12" s="42" t="s">
        <v>58</v>
      </c>
      <c r="B12" s="40">
        <v>1000</v>
      </c>
      <c r="C12" s="44" t="s">
        <v>42</v>
      </c>
      <c r="E12" s="24"/>
      <c r="M12" s="29"/>
    </row>
    <row r="13" spans="1:13" ht="30.75" thickBot="1" x14ac:dyDescent="0.3">
      <c r="A13" s="42" t="s">
        <v>60</v>
      </c>
      <c r="B13" s="38">
        <v>32</v>
      </c>
      <c r="C13" s="43" t="s">
        <v>61</v>
      </c>
      <c r="E13" s="24"/>
      <c r="M13" s="29"/>
    </row>
    <row r="14" spans="1:13" ht="105.75" thickBot="1" x14ac:dyDescent="0.3">
      <c r="A14" s="42" t="s">
        <v>59</v>
      </c>
      <c r="B14" s="38">
        <v>0</v>
      </c>
      <c r="C14" s="45" t="s">
        <v>41</v>
      </c>
      <c r="E14" s="24"/>
      <c r="M14" s="29"/>
    </row>
    <row r="15" spans="1:13" ht="75.75" thickBot="1" x14ac:dyDescent="0.3">
      <c r="A15" s="55" t="s">
        <v>39</v>
      </c>
      <c r="B15" s="53">
        <v>5</v>
      </c>
      <c r="C15" s="52" t="s">
        <v>51</v>
      </c>
      <c r="E15" s="24"/>
      <c r="M15" s="29"/>
    </row>
    <row r="16" spans="1:13" x14ac:dyDescent="0.25">
      <c r="E16" s="24"/>
      <c r="M16" s="29"/>
    </row>
    <row r="17" spans="5:13" x14ac:dyDescent="0.25">
      <c r="E17" s="24"/>
      <c r="M17" s="29"/>
    </row>
    <row r="18" spans="5:13" x14ac:dyDescent="0.25">
      <c r="E18" s="24"/>
      <c r="M18" s="29"/>
    </row>
    <row r="19" spans="5:13" x14ac:dyDescent="0.25">
      <c r="E19" s="24"/>
      <c r="M19" s="29"/>
    </row>
    <row r="20" spans="5:13" x14ac:dyDescent="0.25">
      <c r="E20" s="24"/>
      <c r="M20" s="29"/>
    </row>
    <row r="21" spans="5:13" x14ac:dyDescent="0.25">
      <c r="E21" s="24"/>
      <c r="M21" s="29"/>
    </row>
    <row r="22" spans="5:13" x14ac:dyDescent="0.25">
      <c r="E22" s="24"/>
      <c r="M22" s="29"/>
    </row>
    <row r="23" spans="5:13" x14ac:dyDescent="0.25">
      <c r="E23" s="24"/>
      <c r="M23" s="29"/>
    </row>
    <row r="24" spans="5:13" x14ac:dyDescent="0.25">
      <c r="E24" s="24"/>
      <c r="M24" s="29"/>
    </row>
    <row r="25" spans="5:13" x14ac:dyDescent="0.25">
      <c r="E25" s="24"/>
      <c r="M25" s="29"/>
    </row>
    <row r="26" spans="5:13" ht="15.75" thickBot="1" x14ac:dyDescent="0.3">
      <c r="E26" s="26"/>
      <c r="F26" s="33"/>
      <c r="G26" s="33"/>
      <c r="H26" s="33"/>
      <c r="I26" s="33"/>
      <c r="J26" s="33"/>
      <c r="K26" s="33"/>
      <c r="L26" s="33"/>
      <c r="M26" s="34"/>
    </row>
  </sheetData>
  <mergeCells count="3">
    <mergeCell ref="E4:M4"/>
    <mergeCell ref="A4:C4"/>
    <mergeCell ref="A1:C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BF620-F3B1-4B49-821C-0A87BB7FC4E5}">
  <dimension ref="A1:T37"/>
  <sheetViews>
    <sheetView topLeftCell="A2" workbookViewId="0">
      <selection activeCell="S7" sqref="S7"/>
    </sheetView>
  </sheetViews>
  <sheetFormatPr defaultRowHeight="15" x14ac:dyDescent="0.25"/>
  <cols>
    <col min="1" max="1" width="19.140625" customWidth="1"/>
    <col min="2" max="2" width="12.42578125" customWidth="1"/>
    <col min="3" max="4" width="13.140625" customWidth="1"/>
    <col min="5" max="5" width="12.42578125" customWidth="1"/>
    <col min="6" max="6" width="12" customWidth="1"/>
    <col min="8" max="8" width="14.42578125" customWidth="1"/>
    <col min="10" max="10" width="4.140625" customWidth="1"/>
    <col min="12" max="12" width="4.140625" customWidth="1"/>
    <col min="13" max="13" width="8.7109375" style="13" customWidth="1"/>
    <col min="19" max="19" width="33.7109375" customWidth="1"/>
    <col min="20" max="20" width="15.5703125" customWidth="1"/>
  </cols>
  <sheetData>
    <row r="1" spans="1:19" ht="15.75" thickBot="1" x14ac:dyDescent="0.3">
      <c r="A1" s="1" t="s">
        <v>20</v>
      </c>
      <c r="E1" t="s">
        <v>18</v>
      </c>
    </row>
    <row r="2" spans="1:19" ht="31.5" thickBot="1" x14ac:dyDescent="0.35">
      <c r="A2" s="14" t="s">
        <v>21</v>
      </c>
      <c r="B2" s="46">
        <f>'input and results'!B9</f>
        <v>1</v>
      </c>
    </row>
    <row r="3" spans="1:19" ht="19.5" thickBot="1" x14ac:dyDescent="0.35">
      <c r="A3" s="1" t="s">
        <v>1</v>
      </c>
      <c r="B3" s="47">
        <f>'input and results'!B10</f>
        <v>4.2000000000000003E-2</v>
      </c>
      <c r="C3" s="1"/>
      <c r="D3" s="1"/>
      <c r="E3" s="15" t="s">
        <v>4</v>
      </c>
      <c r="F3" s="50">
        <f>'input and results'!B12</f>
        <v>1000</v>
      </c>
      <c r="H3" s="4"/>
      <c r="I3" s="3"/>
    </row>
    <row r="4" spans="1:19" ht="46.5" customHeight="1" x14ac:dyDescent="0.25">
      <c r="A4" s="1" t="s">
        <v>0</v>
      </c>
      <c r="B4" s="48">
        <f>'input and results'!B5</f>
        <v>5500</v>
      </c>
      <c r="C4" s="1"/>
      <c r="D4" s="1"/>
      <c r="E4" s="2" t="s">
        <v>11</v>
      </c>
      <c r="F4" s="51">
        <f>'input and results'!B8</f>
        <v>3600</v>
      </c>
      <c r="H4" s="4" t="s">
        <v>13</v>
      </c>
      <c r="I4" s="51">
        <f>'input and results'!B14/100+1</f>
        <v>1</v>
      </c>
      <c r="K4" s="70" t="s">
        <v>38</v>
      </c>
      <c r="L4" s="71"/>
      <c r="M4" s="71"/>
      <c r="N4" s="71"/>
      <c r="O4" s="71"/>
      <c r="P4" s="71"/>
      <c r="Q4" s="71"/>
      <c r="R4" s="71"/>
      <c r="S4" s="72"/>
    </row>
    <row r="5" spans="1:19" ht="45.75" thickBot="1" x14ac:dyDescent="0.3">
      <c r="A5" s="2" t="s">
        <v>7</v>
      </c>
      <c r="B5" s="48">
        <f>'input and results'!B7</f>
        <v>2000</v>
      </c>
      <c r="E5" s="2" t="s">
        <v>45</v>
      </c>
      <c r="F5" s="51">
        <f>IF(F8=1,L6*I7,I7)</f>
        <v>0.65</v>
      </c>
      <c r="H5" s="2" t="s">
        <v>9</v>
      </c>
      <c r="I5" s="51">
        <f>'input and results'!B15/100</f>
        <v>0.05</v>
      </c>
      <c r="K5" s="73"/>
      <c r="L5" s="74"/>
      <c r="M5" s="74"/>
      <c r="N5" s="74"/>
      <c r="O5" s="74"/>
      <c r="P5" s="74"/>
      <c r="Q5" s="74"/>
      <c r="R5" s="74"/>
      <c r="S5" s="75"/>
    </row>
    <row r="6" spans="1:19" ht="32.25" thickBot="1" x14ac:dyDescent="0.4">
      <c r="A6" s="14" t="s">
        <v>12</v>
      </c>
      <c r="B6" s="49">
        <f>'input and results'!B6</f>
        <v>1</v>
      </c>
      <c r="E6" s="2" t="s">
        <v>8</v>
      </c>
      <c r="F6" s="3">
        <v>15</v>
      </c>
      <c r="H6" s="2" t="s">
        <v>10</v>
      </c>
      <c r="I6" s="51">
        <f>'input and results'!B13/100</f>
        <v>0.32</v>
      </c>
      <c r="K6" s="1" t="s">
        <v>47</v>
      </c>
      <c r="L6" s="3">
        <v>0.75</v>
      </c>
    </row>
    <row r="7" spans="1:19" ht="120" x14ac:dyDescent="0.25">
      <c r="E7" s="56" t="s">
        <v>62</v>
      </c>
      <c r="F7" s="57">
        <v>2</v>
      </c>
      <c r="H7" s="2" t="s">
        <v>63</v>
      </c>
      <c r="I7" s="3">
        <v>0.65</v>
      </c>
    </row>
    <row r="8" spans="1:19" ht="30.75" thickBot="1" x14ac:dyDescent="0.3">
      <c r="E8" s="2" t="s">
        <v>46</v>
      </c>
      <c r="F8" s="1">
        <f>'input and results'!B11</f>
        <v>0</v>
      </c>
      <c r="H8" s="2"/>
    </row>
    <row r="9" spans="1:19" ht="75.75" thickBot="1" x14ac:dyDescent="0.3">
      <c r="A9" s="8" t="s">
        <v>2</v>
      </c>
      <c r="B9" s="8" t="s">
        <v>6</v>
      </c>
      <c r="C9" s="7" t="s">
        <v>14</v>
      </c>
      <c r="D9" s="7" t="s">
        <v>15</v>
      </c>
      <c r="E9" s="8" t="s">
        <v>16</v>
      </c>
      <c r="F9" s="7" t="s">
        <v>5</v>
      </c>
      <c r="G9" s="7" t="s">
        <v>3</v>
      </c>
      <c r="H9" s="7" t="s">
        <v>26</v>
      </c>
      <c r="I9" s="7" t="s">
        <v>22</v>
      </c>
      <c r="K9" s="21" t="s">
        <v>24</v>
      </c>
      <c r="M9" s="21" t="s">
        <v>23</v>
      </c>
      <c r="N9" s="7"/>
      <c r="O9" s="7"/>
      <c r="P9" s="68" t="s">
        <v>29</v>
      </c>
      <c r="Q9" s="69"/>
    </row>
    <row r="10" spans="1:19" x14ac:dyDescent="0.25">
      <c r="A10">
        <v>1</v>
      </c>
      <c r="B10" s="5">
        <f>(($F$5+$B$6*$F$6/100)*$I$6*$F$4+(1-$F$5-$B$6*$F$6/100)*$F$4*$I$5)</f>
        <v>957.6</v>
      </c>
      <c r="C10">
        <f>$F$4*($F$5+$B$6*$F$6/100)</f>
        <v>2880</v>
      </c>
      <c r="D10">
        <f t="shared" ref="D10:D34" si="0">$F$4*(1-$F$5-$B$6*$F$6/100)</f>
        <v>719.99999999999989</v>
      </c>
      <c r="E10" s="5">
        <f>F10*$B$3*$B$2</f>
        <v>315</v>
      </c>
      <c r="F10" s="5">
        <f>(B4+B6*B5)</f>
        <v>7500</v>
      </c>
      <c r="G10" s="9">
        <f t="shared" ref="G10:G27" si="1">IF((F10+E10)&lt;($F$3),(F10+E10),$F$3)</f>
        <v>1000</v>
      </c>
      <c r="H10" s="5">
        <f t="shared" ref="H10:H34" si="2">B10-E10-G10</f>
        <v>-357.4</v>
      </c>
      <c r="I10" s="5">
        <f>H10</f>
        <v>-357.4</v>
      </c>
      <c r="J10">
        <f t="shared" ref="J10:J34" si="3">IF(F10=0,A10,0)</f>
        <v>0</v>
      </c>
      <c r="K10" s="17"/>
      <c r="L10">
        <f>IF(H10&gt;0,A10,0)</f>
        <v>0</v>
      </c>
      <c r="M10" s="17"/>
      <c r="P10" s="24">
        <f t="shared" ref="P10:P34" si="4">A10</f>
        <v>1</v>
      </c>
      <c r="Q10" s="25">
        <f>I10</f>
        <v>-357.4</v>
      </c>
    </row>
    <row r="11" spans="1:19" x14ac:dyDescent="0.25">
      <c r="A11">
        <f>A10+1</f>
        <v>2</v>
      </c>
      <c r="B11" s="5">
        <f t="shared" ref="B11:B34" si="5">B10*$I$4</f>
        <v>957.6</v>
      </c>
      <c r="C11">
        <f t="shared" ref="C11:C34" si="6">$F$4*($F$5+$B$6*$F$6/100)</f>
        <v>2880</v>
      </c>
      <c r="D11">
        <f t="shared" si="0"/>
        <v>719.99999999999989</v>
      </c>
      <c r="E11" s="5">
        <f t="shared" ref="E11:E34" si="7">F11*$B$3*$B$2</f>
        <v>286.23</v>
      </c>
      <c r="F11" s="5">
        <f>F10-G10+E10</f>
        <v>6815</v>
      </c>
      <c r="G11" s="9">
        <f t="shared" si="1"/>
        <v>1000</v>
      </c>
      <c r="H11" s="5">
        <f t="shared" si="2"/>
        <v>-328.63</v>
      </c>
      <c r="I11" s="5">
        <f>I10+H11</f>
        <v>-686.03</v>
      </c>
      <c r="J11">
        <f t="shared" si="3"/>
        <v>0</v>
      </c>
      <c r="K11" s="18">
        <f t="shared" ref="K11:K34" si="8">IF(J11-J10&gt;2,A11,0)</f>
        <v>0</v>
      </c>
      <c r="L11">
        <f t="shared" ref="L11:L34" si="9">IF(H11&gt;0,A11,0)</f>
        <v>0</v>
      </c>
      <c r="M11" s="18">
        <f>IF(L11-L10&gt;2,L11,0)</f>
        <v>0</v>
      </c>
      <c r="P11" s="24">
        <f t="shared" si="4"/>
        <v>2</v>
      </c>
      <c r="Q11" s="25">
        <f t="shared" ref="Q11:Q34" si="10">I11</f>
        <v>-686.03</v>
      </c>
    </row>
    <row r="12" spans="1:19" x14ac:dyDescent="0.25">
      <c r="A12">
        <f t="shared" ref="A12:A27" si="11">A11+1</f>
        <v>3</v>
      </c>
      <c r="B12" s="5">
        <f t="shared" si="5"/>
        <v>957.6</v>
      </c>
      <c r="C12">
        <f t="shared" si="6"/>
        <v>2880</v>
      </c>
      <c r="D12">
        <f t="shared" si="0"/>
        <v>719.99999999999989</v>
      </c>
      <c r="E12" s="5">
        <f t="shared" si="7"/>
        <v>256.25166000000002</v>
      </c>
      <c r="F12" s="5">
        <f>F11-G11+E11</f>
        <v>6101.23</v>
      </c>
      <c r="G12" s="9">
        <f t="shared" si="1"/>
        <v>1000</v>
      </c>
      <c r="H12" s="5">
        <f t="shared" si="2"/>
        <v>-298.65165999999999</v>
      </c>
      <c r="I12" s="5">
        <f t="shared" ref="I12:I27" si="12">I11+H12</f>
        <v>-984.68165999999997</v>
      </c>
      <c r="J12">
        <f t="shared" si="3"/>
        <v>0</v>
      </c>
      <c r="K12" s="18">
        <f t="shared" si="8"/>
        <v>0</v>
      </c>
      <c r="L12">
        <f t="shared" si="9"/>
        <v>0</v>
      </c>
      <c r="M12" s="18">
        <f t="shared" ref="M12:M34" si="13">IF(L12-L11&gt;2,L12,0)</f>
        <v>0</v>
      </c>
      <c r="P12" s="24">
        <f t="shared" si="4"/>
        <v>3</v>
      </c>
      <c r="Q12" s="25">
        <f t="shared" si="10"/>
        <v>-984.68165999999997</v>
      </c>
    </row>
    <row r="13" spans="1:19" ht="15" customHeight="1" x14ac:dyDescent="0.25">
      <c r="A13">
        <f t="shared" si="11"/>
        <v>4</v>
      </c>
      <c r="B13" s="5">
        <f t="shared" si="5"/>
        <v>957.6</v>
      </c>
      <c r="C13">
        <f t="shared" si="6"/>
        <v>2880</v>
      </c>
      <c r="D13">
        <f t="shared" si="0"/>
        <v>719.99999999999989</v>
      </c>
      <c r="E13" s="5">
        <f t="shared" si="7"/>
        <v>225.01422972</v>
      </c>
      <c r="F13" s="5">
        <f t="shared" ref="F13:F28" si="14">F12-G12+E12</f>
        <v>5357.4816599999995</v>
      </c>
      <c r="G13" s="9">
        <f t="shared" si="1"/>
        <v>1000</v>
      </c>
      <c r="H13" s="5">
        <f t="shared" si="2"/>
        <v>-267.41422971999998</v>
      </c>
      <c r="I13" s="5">
        <f t="shared" si="12"/>
        <v>-1252.0958897199998</v>
      </c>
      <c r="J13">
        <f t="shared" si="3"/>
        <v>0</v>
      </c>
      <c r="K13" s="18">
        <f t="shared" si="8"/>
        <v>0</v>
      </c>
      <c r="L13">
        <f t="shared" si="9"/>
        <v>0</v>
      </c>
      <c r="M13" s="18">
        <f t="shared" si="13"/>
        <v>0</v>
      </c>
      <c r="P13" s="24">
        <f t="shared" si="4"/>
        <v>4</v>
      </c>
      <c r="Q13" s="25">
        <f t="shared" si="10"/>
        <v>-1252.0958897199998</v>
      </c>
    </row>
    <row r="14" spans="1:19" x14ac:dyDescent="0.25">
      <c r="A14">
        <f t="shared" si="11"/>
        <v>5</v>
      </c>
      <c r="B14" s="5">
        <f t="shared" si="5"/>
        <v>957.6</v>
      </c>
      <c r="C14">
        <f t="shared" si="6"/>
        <v>2880</v>
      </c>
      <c r="D14">
        <f t="shared" si="0"/>
        <v>719.99999999999989</v>
      </c>
      <c r="E14" s="5">
        <f t="shared" si="7"/>
        <v>192.46482736823998</v>
      </c>
      <c r="F14" s="5">
        <f t="shared" si="14"/>
        <v>4582.4958897199995</v>
      </c>
      <c r="G14" s="9">
        <f t="shared" si="1"/>
        <v>1000</v>
      </c>
      <c r="H14" s="5">
        <f t="shared" si="2"/>
        <v>-234.86482736823996</v>
      </c>
      <c r="I14" s="5">
        <f t="shared" si="12"/>
        <v>-1486.9607170882398</v>
      </c>
      <c r="J14">
        <f t="shared" si="3"/>
        <v>0</v>
      </c>
      <c r="K14" s="18">
        <f t="shared" si="8"/>
        <v>0</v>
      </c>
      <c r="L14">
        <f t="shared" si="9"/>
        <v>0</v>
      </c>
      <c r="M14" s="18">
        <f t="shared" si="13"/>
        <v>0</v>
      </c>
      <c r="P14" s="24">
        <f t="shared" si="4"/>
        <v>5</v>
      </c>
      <c r="Q14" s="25">
        <f t="shared" si="10"/>
        <v>-1486.9607170882398</v>
      </c>
    </row>
    <row r="15" spans="1:19" x14ac:dyDescent="0.25">
      <c r="A15">
        <f t="shared" si="11"/>
        <v>6</v>
      </c>
      <c r="B15" s="5">
        <f t="shared" si="5"/>
        <v>957.6</v>
      </c>
      <c r="C15">
        <f t="shared" si="6"/>
        <v>2880</v>
      </c>
      <c r="D15">
        <f t="shared" si="0"/>
        <v>719.99999999999989</v>
      </c>
      <c r="E15" s="5">
        <f t="shared" si="7"/>
        <v>158.54835011770606</v>
      </c>
      <c r="F15" s="5">
        <f t="shared" si="14"/>
        <v>3774.9607170882396</v>
      </c>
      <c r="G15" s="9">
        <f t="shared" si="1"/>
        <v>1000</v>
      </c>
      <c r="H15" s="5">
        <f t="shared" si="2"/>
        <v>-200.94835011770601</v>
      </c>
      <c r="I15" s="5">
        <f t="shared" si="12"/>
        <v>-1687.9090672059458</v>
      </c>
      <c r="J15">
        <f t="shared" si="3"/>
        <v>0</v>
      </c>
      <c r="K15" s="18">
        <f t="shared" si="8"/>
        <v>0</v>
      </c>
      <c r="L15">
        <f t="shared" si="9"/>
        <v>0</v>
      </c>
      <c r="M15" s="18">
        <f t="shared" si="13"/>
        <v>0</v>
      </c>
      <c r="P15" s="24">
        <f t="shared" si="4"/>
        <v>6</v>
      </c>
      <c r="Q15" s="25">
        <f t="shared" si="10"/>
        <v>-1687.9090672059458</v>
      </c>
    </row>
    <row r="16" spans="1:19" x14ac:dyDescent="0.25">
      <c r="A16">
        <f t="shared" si="11"/>
        <v>7</v>
      </c>
      <c r="B16" s="5">
        <f t="shared" si="5"/>
        <v>957.6</v>
      </c>
      <c r="C16">
        <f t="shared" si="6"/>
        <v>2880</v>
      </c>
      <c r="D16">
        <f t="shared" si="0"/>
        <v>719.99999999999989</v>
      </c>
      <c r="E16" s="5">
        <f t="shared" si="7"/>
        <v>123.20738082264972</v>
      </c>
      <c r="F16" s="5">
        <f t="shared" si="14"/>
        <v>2933.5090672059455</v>
      </c>
      <c r="G16" s="9">
        <f t="shared" si="1"/>
        <v>1000</v>
      </c>
      <c r="H16" s="5">
        <f t="shared" si="2"/>
        <v>-165.6073808226497</v>
      </c>
      <c r="I16" s="5">
        <f t="shared" si="12"/>
        <v>-1853.5164480285955</v>
      </c>
      <c r="J16">
        <f t="shared" si="3"/>
        <v>0</v>
      </c>
      <c r="K16" s="18">
        <f t="shared" si="8"/>
        <v>0</v>
      </c>
      <c r="L16">
        <f t="shared" si="9"/>
        <v>0</v>
      </c>
      <c r="M16" s="18">
        <f t="shared" si="13"/>
        <v>0</v>
      </c>
      <c r="P16" s="24">
        <f t="shared" si="4"/>
        <v>7</v>
      </c>
      <c r="Q16" s="25">
        <f t="shared" si="10"/>
        <v>-1853.5164480285955</v>
      </c>
    </row>
    <row r="17" spans="1:17" x14ac:dyDescent="0.25">
      <c r="A17">
        <f t="shared" si="11"/>
        <v>8</v>
      </c>
      <c r="B17" s="5">
        <f t="shared" si="5"/>
        <v>957.6</v>
      </c>
      <c r="C17">
        <f t="shared" si="6"/>
        <v>2880</v>
      </c>
      <c r="D17">
        <f t="shared" si="0"/>
        <v>719.99999999999989</v>
      </c>
      <c r="E17" s="5">
        <f t="shared" si="7"/>
        <v>86.382090817201004</v>
      </c>
      <c r="F17" s="5">
        <f t="shared" si="14"/>
        <v>2056.7164480285951</v>
      </c>
      <c r="G17" s="9">
        <f t="shared" si="1"/>
        <v>1000</v>
      </c>
      <c r="H17" s="5">
        <f t="shared" si="2"/>
        <v>-128.78209081720092</v>
      </c>
      <c r="I17" s="5">
        <f t="shared" si="12"/>
        <v>-1982.2985388457964</v>
      </c>
      <c r="J17">
        <f t="shared" si="3"/>
        <v>0</v>
      </c>
      <c r="K17" s="18">
        <f t="shared" si="8"/>
        <v>0</v>
      </c>
      <c r="L17">
        <f t="shared" si="9"/>
        <v>0</v>
      </c>
      <c r="M17" s="18">
        <f t="shared" si="13"/>
        <v>0</v>
      </c>
      <c r="P17" s="24">
        <f t="shared" si="4"/>
        <v>8</v>
      </c>
      <c r="Q17" s="25">
        <f t="shared" si="10"/>
        <v>-1982.2985388457964</v>
      </c>
    </row>
    <row r="18" spans="1:17" x14ac:dyDescent="0.25">
      <c r="A18">
        <f t="shared" si="11"/>
        <v>9</v>
      </c>
      <c r="B18" s="5">
        <f t="shared" si="5"/>
        <v>957.6</v>
      </c>
      <c r="C18">
        <f t="shared" si="6"/>
        <v>2880</v>
      </c>
      <c r="D18">
        <f t="shared" si="0"/>
        <v>719.99999999999989</v>
      </c>
      <c r="E18" s="5">
        <f t="shared" si="7"/>
        <v>48.010138631523439</v>
      </c>
      <c r="F18" s="5">
        <f t="shared" si="14"/>
        <v>1143.0985388457962</v>
      </c>
      <c r="G18" s="9">
        <f t="shared" si="1"/>
        <v>1000</v>
      </c>
      <c r="H18" s="5">
        <f t="shared" si="2"/>
        <v>-90.410138631523409</v>
      </c>
      <c r="I18" s="5">
        <f t="shared" si="12"/>
        <v>-2072.7086774773197</v>
      </c>
      <c r="J18">
        <f t="shared" si="3"/>
        <v>0</v>
      </c>
      <c r="K18" s="18">
        <f t="shared" si="8"/>
        <v>0</v>
      </c>
      <c r="L18">
        <f t="shared" si="9"/>
        <v>0</v>
      </c>
      <c r="M18" s="18">
        <f t="shared" si="13"/>
        <v>0</v>
      </c>
      <c r="P18" s="24">
        <f t="shared" si="4"/>
        <v>9</v>
      </c>
      <c r="Q18" s="25">
        <f t="shared" si="10"/>
        <v>-2072.7086774773197</v>
      </c>
    </row>
    <row r="19" spans="1:17" x14ac:dyDescent="0.25">
      <c r="A19">
        <f t="shared" si="11"/>
        <v>10</v>
      </c>
      <c r="B19" s="5">
        <f t="shared" si="5"/>
        <v>957.6</v>
      </c>
      <c r="C19">
        <f t="shared" si="6"/>
        <v>2880</v>
      </c>
      <c r="D19">
        <f t="shared" si="0"/>
        <v>719.99999999999989</v>
      </c>
      <c r="E19" s="5">
        <f t="shared" si="7"/>
        <v>8.0265644540474224</v>
      </c>
      <c r="F19" s="5">
        <f t="shared" si="14"/>
        <v>191.10867747731959</v>
      </c>
      <c r="G19" s="9">
        <f t="shared" si="1"/>
        <v>199.13524193136701</v>
      </c>
      <c r="H19" s="5">
        <f t="shared" si="2"/>
        <v>750.43819361458566</v>
      </c>
      <c r="I19" s="5">
        <f>I18+H19</f>
        <v>-1322.2704838627342</v>
      </c>
      <c r="J19">
        <f t="shared" si="3"/>
        <v>0</v>
      </c>
      <c r="K19" s="18">
        <f t="shared" si="8"/>
        <v>0</v>
      </c>
      <c r="L19">
        <f t="shared" si="9"/>
        <v>10</v>
      </c>
      <c r="M19" s="18">
        <f t="shared" si="13"/>
        <v>10</v>
      </c>
      <c r="P19" s="24">
        <f t="shared" si="4"/>
        <v>10</v>
      </c>
      <c r="Q19" s="25">
        <f t="shared" si="10"/>
        <v>-1322.2704838627342</v>
      </c>
    </row>
    <row r="20" spans="1:17" x14ac:dyDescent="0.25">
      <c r="A20">
        <f t="shared" si="11"/>
        <v>11</v>
      </c>
      <c r="B20" s="5">
        <f t="shared" si="5"/>
        <v>957.6</v>
      </c>
      <c r="C20">
        <f t="shared" si="6"/>
        <v>2880</v>
      </c>
      <c r="D20">
        <f t="shared" si="0"/>
        <v>719.99999999999989</v>
      </c>
      <c r="E20" s="5">
        <f t="shared" si="7"/>
        <v>0</v>
      </c>
      <c r="F20" s="5">
        <f t="shared" si="14"/>
        <v>0</v>
      </c>
      <c r="G20" s="9">
        <f t="shared" si="1"/>
        <v>0</v>
      </c>
      <c r="H20" s="5">
        <f t="shared" si="2"/>
        <v>957.6</v>
      </c>
      <c r="I20" s="5">
        <f t="shared" si="12"/>
        <v>-364.67048386273416</v>
      </c>
      <c r="J20">
        <f t="shared" si="3"/>
        <v>11</v>
      </c>
      <c r="K20" s="18">
        <f t="shared" si="8"/>
        <v>11</v>
      </c>
      <c r="L20">
        <f t="shared" si="9"/>
        <v>11</v>
      </c>
      <c r="M20" s="18">
        <f t="shared" si="13"/>
        <v>0</v>
      </c>
      <c r="P20" s="24">
        <f t="shared" si="4"/>
        <v>11</v>
      </c>
      <c r="Q20" s="25">
        <f t="shared" si="10"/>
        <v>-364.67048386273416</v>
      </c>
    </row>
    <row r="21" spans="1:17" x14ac:dyDescent="0.25">
      <c r="A21">
        <f t="shared" si="11"/>
        <v>12</v>
      </c>
      <c r="B21" s="5">
        <f t="shared" si="5"/>
        <v>957.6</v>
      </c>
      <c r="C21">
        <f t="shared" si="6"/>
        <v>2880</v>
      </c>
      <c r="D21">
        <f t="shared" si="0"/>
        <v>719.99999999999989</v>
      </c>
      <c r="E21" s="5">
        <f t="shared" si="7"/>
        <v>0</v>
      </c>
      <c r="F21" s="5">
        <f t="shared" si="14"/>
        <v>0</v>
      </c>
      <c r="G21" s="9">
        <f t="shared" si="1"/>
        <v>0</v>
      </c>
      <c r="H21" s="5">
        <f t="shared" si="2"/>
        <v>957.6</v>
      </c>
      <c r="I21" s="5">
        <f t="shared" si="12"/>
        <v>592.92951613726586</v>
      </c>
      <c r="J21">
        <f t="shared" si="3"/>
        <v>12</v>
      </c>
      <c r="K21" s="18">
        <f t="shared" si="8"/>
        <v>0</v>
      </c>
      <c r="L21">
        <f t="shared" si="9"/>
        <v>12</v>
      </c>
      <c r="M21" s="18">
        <f t="shared" si="13"/>
        <v>0</v>
      </c>
      <c r="P21" s="24">
        <f t="shared" si="4"/>
        <v>12</v>
      </c>
      <c r="Q21" s="25">
        <f t="shared" si="10"/>
        <v>592.92951613726586</v>
      </c>
    </row>
    <row r="22" spans="1:17" x14ac:dyDescent="0.25">
      <c r="A22">
        <f t="shared" si="11"/>
        <v>13</v>
      </c>
      <c r="B22" s="5">
        <f t="shared" si="5"/>
        <v>957.6</v>
      </c>
      <c r="C22">
        <f t="shared" si="6"/>
        <v>2880</v>
      </c>
      <c r="D22">
        <f t="shared" si="0"/>
        <v>719.99999999999989</v>
      </c>
      <c r="E22" s="5">
        <f t="shared" si="7"/>
        <v>0</v>
      </c>
      <c r="F22" s="5">
        <f t="shared" si="14"/>
        <v>0</v>
      </c>
      <c r="G22" s="9">
        <f t="shared" si="1"/>
        <v>0</v>
      </c>
      <c r="H22" s="5">
        <f t="shared" si="2"/>
        <v>957.6</v>
      </c>
      <c r="I22" s="5">
        <f t="shared" si="12"/>
        <v>1550.529516137266</v>
      </c>
      <c r="J22">
        <f t="shared" si="3"/>
        <v>13</v>
      </c>
      <c r="K22" s="18">
        <f t="shared" si="8"/>
        <v>0</v>
      </c>
      <c r="L22">
        <f t="shared" si="9"/>
        <v>13</v>
      </c>
      <c r="M22" s="18">
        <f t="shared" si="13"/>
        <v>0</v>
      </c>
      <c r="P22" s="24">
        <f t="shared" si="4"/>
        <v>13</v>
      </c>
      <c r="Q22" s="25">
        <f t="shared" si="10"/>
        <v>1550.529516137266</v>
      </c>
    </row>
    <row r="23" spans="1:17" x14ac:dyDescent="0.25">
      <c r="A23">
        <f t="shared" si="11"/>
        <v>14</v>
      </c>
      <c r="B23" s="5">
        <f t="shared" si="5"/>
        <v>957.6</v>
      </c>
      <c r="C23">
        <f t="shared" si="6"/>
        <v>2880</v>
      </c>
      <c r="D23">
        <f t="shared" si="0"/>
        <v>719.99999999999989</v>
      </c>
      <c r="E23" s="5">
        <f t="shared" si="7"/>
        <v>0</v>
      </c>
      <c r="F23" s="5">
        <f t="shared" si="14"/>
        <v>0</v>
      </c>
      <c r="G23" s="9">
        <f t="shared" si="1"/>
        <v>0</v>
      </c>
      <c r="H23" s="5">
        <f t="shared" si="2"/>
        <v>957.6</v>
      </c>
      <c r="I23" s="5">
        <f t="shared" si="12"/>
        <v>2508.1295161372659</v>
      </c>
      <c r="J23">
        <f t="shared" si="3"/>
        <v>14</v>
      </c>
      <c r="K23" s="18">
        <f t="shared" si="8"/>
        <v>0</v>
      </c>
      <c r="L23">
        <f t="shared" si="9"/>
        <v>14</v>
      </c>
      <c r="M23" s="18">
        <f t="shared" si="13"/>
        <v>0</v>
      </c>
      <c r="P23" s="24">
        <f t="shared" si="4"/>
        <v>14</v>
      </c>
      <c r="Q23" s="25">
        <f t="shared" si="10"/>
        <v>2508.1295161372659</v>
      </c>
    </row>
    <row r="24" spans="1:17" x14ac:dyDescent="0.25">
      <c r="A24">
        <f t="shared" si="11"/>
        <v>15</v>
      </c>
      <c r="B24" s="5">
        <f t="shared" si="5"/>
        <v>957.6</v>
      </c>
      <c r="C24">
        <f t="shared" si="6"/>
        <v>2880</v>
      </c>
      <c r="D24">
        <f t="shared" si="0"/>
        <v>719.99999999999989</v>
      </c>
      <c r="E24" s="5">
        <f t="shared" si="7"/>
        <v>0</v>
      </c>
      <c r="F24" s="5">
        <f t="shared" si="14"/>
        <v>0</v>
      </c>
      <c r="G24" s="9">
        <f t="shared" si="1"/>
        <v>0</v>
      </c>
      <c r="H24" s="5">
        <f t="shared" si="2"/>
        <v>957.6</v>
      </c>
      <c r="I24" s="5">
        <f t="shared" si="12"/>
        <v>3465.7295161372658</v>
      </c>
      <c r="J24">
        <f t="shared" si="3"/>
        <v>15</v>
      </c>
      <c r="K24" s="18">
        <f t="shared" si="8"/>
        <v>0</v>
      </c>
      <c r="L24">
        <f t="shared" si="9"/>
        <v>15</v>
      </c>
      <c r="M24" s="18">
        <f t="shared" si="13"/>
        <v>0</v>
      </c>
      <c r="P24" s="24">
        <f t="shared" si="4"/>
        <v>15</v>
      </c>
      <c r="Q24" s="25">
        <f t="shared" si="10"/>
        <v>3465.7295161372658</v>
      </c>
    </row>
    <row r="25" spans="1:17" x14ac:dyDescent="0.25">
      <c r="A25">
        <f t="shared" si="11"/>
        <v>16</v>
      </c>
      <c r="B25" s="5">
        <f t="shared" si="5"/>
        <v>957.6</v>
      </c>
      <c r="C25">
        <f t="shared" si="6"/>
        <v>2880</v>
      </c>
      <c r="D25">
        <f t="shared" si="0"/>
        <v>719.99999999999989</v>
      </c>
      <c r="E25" s="5">
        <f t="shared" si="7"/>
        <v>0</v>
      </c>
      <c r="F25" s="5">
        <f t="shared" si="14"/>
        <v>0</v>
      </c>
      <c r="G25" s="9">
        <f t="shared" si="1"/>
        <v>0</v>
      </c>
      <c r="H25" s="5">
        <f t="shared" si="2"/>
        <v>957.6</v>
      </c>
      <c r="I25" s="5">
        <f t="shared" si="12"/>
        <v>4423.3295161372662</v>
      </c>
      <c r="J25">
        <f t="shared" si="3"/>
        <v>16</v>
      </c>
      <c r="K25" s="18">
        <f t="shared" si="8"/>
        <v>0</v>
      </c>
      <c r="L25">
        <f t="shared" si="9"/>
        <v>16</v>
      </c>
      <c r="M25" s="18">
        <f t="shared" si="13"/>
        <v>0</v>
      </c>
      <c r="P25" s="24">
        <f t="shared" si="4"/>
        <v>16</v>
      </c>
      <c r="Q25" s="25">
        <f t="shared" si="10"/>
        <v>4423.3295161372662</v>
      </c>
    </row>
    <row r="26" spans="1:17" x14ac:dyDescent="0.25">
      <c r="A26">
        <f t="shared" si="11"/>
        <v>17</v>
      </c>
      <c r="B26" s="5">
        <f t="shared" si="5"/>
        <v>957.6</v>
      </c>
      <c r="C26">
        <f t="shared" si="6"/>
        <v>2880</v>
      </c>
      <c r="D26">
        <f t="shared" si="0"/>
        <v>719.99999999999989</v>
      </c>
      <c r="E26" s="5">
        <f t="shared" si="7"/>
        <v>0</v>
      </c>
      <c r="F26" s="5">
        <f t="shared" si="14"/>
        <v>0</v>
      </c>
      <c r="G26" s="9">
        <f t="shared" si="1"/>
        <v>0</v>
      </c>
      <c r="H26" s="5">
        <f t="shared" si="2"/>
        <v>957.6</v>
      </c>
      <c r="I26" s="5">
        <f t="shared" si="12"/>
        <v>5380.9295161372665</v>
      </c>
      <c r="J26">
        <f t="shared" si="3"/>
        <v>17</v>
      </c>
      <c r="K26" s="18">
        <f t="shared" si="8"/>
        <v>0</v>
      </c>
      <c r="L26">
        <f t="shared" si="9"/>
        <v>17</v>
      </c>
      <c r="M26" s="18">
        <f t="shared" si="13"/>
        <v>0</v>
      </c>
      <c r="P26" s="24">
        <f t="shared" si="4"/>
        <v>17</v>
      </c>
      <c r="Q26" s="25">
        <f t="shared" si="10"/>
        <v>5380.9295161372665</v>
      </c>
    </row>
    <row r="27" spans="1:17" x14ac:dyDescent="0.25">
      <c r="A27">
        <f t="shared" si="11"/>
        <v>18</v>
      </c>
      <c r="B27" s="5">
        <f t="shared" si="5"/>
        <v>957.6</v>
      </c>
      <c r="C27">
        <f t="shared" si="6"/>
        <v>2880</v>
      </c>
      <c r="D27">
        <f t="shared" si="0"/>
        <v>719.99999999999989</v>
      </c>
      <c r="E27" s="5">
        <f t="shared" si="7"/>
        <v>0</v>
      </c>
      <c r="F27" s="5">
        <f t="shared" si="14"/>
        <v>0</v>
      </c>
      <c r="G27" s="9">
        <f t="shared" si="1"/>
        <v>0</v>
      </c>
      <c r="H27" s="5">
        <f t="shared" si="2"/>
        <v>957.6</v>
      </c>
      <c r="I27" s="5">
        <f t="shared" si="12"/>
        <v>6338.5295161372669</v>
      </c>
      <c r="J27">
        <f t="shared" si="3"/>
        <v>18</v>
      </c>
      <c r="K27" s="18">
        <f t="shared" si="8"/>
        <v>0</v>
      </c>
      <c r="L27">
        <f t="shared" si="9"/>
        <v>18</v>
      </c>
      <c r="M27" s="18">
        <f t="shared" si="13"/>
        <v>0</v>
      </c>
      <c r="P27" s="24">
        <f t="shared" si="4"/>
        <v>18</v>
      </c>
      <c r="Q27" s="25">
        <f t="shared" si="10"/>
        <v>6338.5295161372669</v>
      </c>
    </row>
    <row r="28" spans="1:17" x14ac:dyDescent="0.25">
      <c r="A28">
        <f>A27+1</f>
        <v>19</v>
      </c>
      <c r="B28" s="5">
        <f t="shared" si="5"/>
        <v>957.6</v>
      </c>
      <c r="C28">
        <f t="shared" si="6"/>
        <v>2880</v>
      </c>
      <c r="D28">
        <f t="shared" si="0"/>
        <v>719.99999999999989</v>
      </c>
      <c r="E28" s="5">
        <f t="shared" si="7"/>
        <v>0</v>
      </c>
      <c r="F28" s="5">
        <f t="shared" si="14"/>
        <v>0</v>
      </c>
      <c r="G28" s="9">
        <f>IF((F28+E28)&lt;($F$3),(F28+E28),$F$3)</f>
        <v>0</v>
      </c>
      <c r="H28" s="5">
        <f t="shared" si="2"/>
        <v>957.6</v>
      </c>
      <c r="I28" s="5">
        <f>I27+H28</f>
        <v>7296.1295161372673</v>
      </c>
      <c r="J28">
        <f t="shared" si="3"/>
        <v>19</v>
      </c>
      <c r="K28" s="18">
        <f t="shared" si="8"/>
        <v>0</v>
      </c>
      <c r="L28">
        <f t="shared" si="9"/>
        <v>19</v>
      </c>
      <c r="M28" s="18">
        <f t="shared" si="13"/>
        <v>0</v>
      </c>
      <c r="P28" s="24">
        <f t="shared" si="4"/>
        <v>19</v>
      </c>
      <c r="Q28" s="25">
        <f t="shared" si="10"/>
        <v>7296.1295161372673</v>
      </c>
    </row>
    <row r="29" spans="1:17" ht="15.75" x14ac:dyDescent="0.25">
      <c r="A29">
        <f>A28+1</f>
        <v>20</v>
      </c>
      <c r="B29" s="5">
        <f t="shared" si="5"/>
        <v>957.6</v>
      </c>
      <c r="C29">
        <f t="shared" si="6"/>
        <v>2880</v>
      </c>
      <c r="D29">
        <f t="shared" si="0"/>
        <v>719.99999999999989</v>
      </c>
      <c r="E29" s="5">
        <f t="shared" si="7"/>
        <v>0</v>
      </c>
      <c r="F29" s="5">
        <f>F28-G28+E28</f>
        <v>0</v>
      </c>
      <c r="G29" s="9">
        <f t="shared" ref="G29:G34" si="15">IF((F29+E29)&lt;($F$3),(F29+E29),$F$3)</f>
        <v>0</v>
      </c>
      <c r="H29" s="5">
        <f t="shared" si="2"/>
        <v>957.6</v>
      </c>
      <c r="I29" s="16">
        <f>I28+H29</f>
        <v>8253.7295161372676</v>
      </c>
      <c r="J29">
        <f t="shared" si="3"/>
        <v>20</v>
      </c>
      <c r="K29" s="18">
        <f t="shared" si="8"/>
        <v>0</v>
      </c>
      <c r="L29">
        <f t="shared" si="9"/>
        <v>20</v>
      </c>
      <c r="M29" s="18">
        <f t="shared" si="13"/>
        <v>0</v>
      </c>
      <c r="P29" s="24">
        <f t="shared" si="4"/>
        <v>20</v>
      </c>
      <c r="Q29" s="25">
        <f t="shared" si="10"/>
        <v>8253.7295161372676</v>
      </c>
    </row>
    <row r="30" spans="1:17" ht="15.75" x14ac:dyDescent="0.25">
      <c r="A30">
        <f t="shared" ref="A30:A34" si="16">A29+1</f>
        <v>21</v>
      </c>
      <c r="B30" s="5">
        <f t="shared" si="5"/>
        <v>957.6</v>
      </c>
      <c r="C30">
        <f t="shared" si="6"/>
        <v>2880</v>
      </c>
      <c r="D30">
        <f t="shared" si="0"/>
        <v>719.99999999999989</v>
      </c>
      <c r="E30" s="5">
        <f t="shared" si="7"/>
        <v>0</v>
      </c>
      <c r="F30" s="5">
        <f t="shared" ref="F30:F34" si="17">F29-G29+E29</f>
        <v>0</v>
      </c>
      <c r="G30" s="9">
        <f t="shared" si="15"/>
        <v>0</v>
      </c>
      <c r="H30" s="5">
        <f t="shared" si="2"/>
        <v>957.6</v>
      </c>
      <c r="I30" s="16">
        <f t="shared" ref="I30:I34" si="18">I29+H30</f>
        <v>9211.329516137268</v>
      </c>
      <c r="J30">
        <f t="shared" si="3"/>
        <v>21</v>
      </c>
      <c r="K30" s="18">
        <f t="shared" si="8"/>
        <v>0</v>
      </c>
      <c r="L30">
        <f t="shared" si="9"/>
        <v>21</v>
      </c>
      <c r="M30" s="18">
        <f t="shared" si="13"/>
        <v>0</v>
      </c>
      <c r="P30" s="24">
        <f t="shared" si="4"/>
        <v>21</v>
      </c>
      <c r="Q30" s="25">
        <f t="shared" si="10"/>
        <v>9211.329516137268</v>
      </c>
    </row>
    <row r="31" spans="1:17" ht="15.75" x14ac:dyDescent="0.25">
      <c r="A31">
        <f t="shared" si="16"/>
        <v>22</v>
      </c>
      <c r="B31" s="5">
        <f t="shared" si="5"/>
        <v>957.6</v>
      </c>
      <c r="C31">
        <f t="shared" si="6"/>
        <v>2880</v>
      </c>
      <c r="D31">
        <f t="shared" si="0"/>
        <v>719.99999999999989</v>
      </c>
      <c r="E31" s="5">
        <f t="shared" si="7"/>
        <v>0</v>
      </c>
      <c r="F31" s="5">
        <f t="shared" si="17"/>
        <v>0</v>
      </c>
      <c r="G31" s="9">
        <f t="shared" si="15"/>
        <v>0</v>
      </c>
      <c r="H31" s="5">
        <f t="shared" si="2"/>
        <v>957.6</v>
      </c>
      <c r="I31" s="16">
        <f t="shared" si="18"/>
        <v>10168.929516137268</v>
      </c>
      <c r="J31">
        <f t="shared" si="3"/>
        <v>22</v>
      </c>
      <c r="K31" s="18">
        <f t="shared" si="8"/>
        <v>0</v>
      </c>
      <c r="L31">
        <f t="shared" si="9"/>
        <v>22</v>
      </c>
      <c r="M31" s="18">
        <f t="shared" si="13"/>
        <v>0</v>
      </c>
      <c r="P31" s="24">
        <f t="shared" si="4"/>
        <v>22</v>
      </c>
      <c r="Q31" s="25">
        <f t="shared" si="10"/>
        <v>10168.929516137268</v>
      </c>
    </row>
    <row r="32" spans="1:17" ht="15.75" x14ac:dyDescent="0.25">
      <c r="A32">
        <f t="shared" si="16"/>
        <v>23</v>
      </c>
      <c r="B32" s="5">
        <f t="shared" si="5"/>
        <v>957.6</v>
      </c>
      <c r="C32">
        <f t="shared" si="6"/>
        <v>2880</v>
      </c>
      <c r="D32">
        <f t="shared" si="0"/>
        <v>719.99999999999989</v>
      </c>
      <c r="E32" s="5">
        <f t="shared" si="7"/>
        <v>0</v>
      </c>
      <c r="F32" s="5">
        <f t="shared" si="17"/>
        <v>0</v>
      </c>
      <c r="G32" s="9">
        <f t="shared" si="15"/>
        <v>0</v>
      </c>
      <c r="H32" s="5">
        <f t="shared" si="2"/>
        <v>957.6</v>
      </c>
      <c r="I32" s="16">
        <f t="shared" si="18"/>
        <v>11126.529516137269</v>
      </c>
      <c r="J32">
        <f t="shared" si="3"/>
        <v>23</v>
      </c>
      <c r="K32" s="18">
        <f t="shared" si="8"/>
        <v>0</v>
      </c>
      <c r="L32">
        <f t="shared" si="9"/>
        <v>23</v>
      </c>
      <c r="M32" s="18">
        <f t="shared" si="13"/>
        <v>0</v>
      </c>
      <c r="P32" s="24">
        <f t="shared" si="4"/>
        <v>23</v>
      </c>
      <c r="Q32" s="25">
        <f t="shared" si="10"/>
        <v>11126.529516137269</v>
      </c>
    </row>
    <row r="33" spans="1:20" ht="15.75" x14ac:dyDescent="0.25">
      <c r="A33">
        <f t="shared" si="16"/>
        <v>24</v>
      </c>
      <c r="B33" s="5">
        <f t="shared" si="5"/>
        <v>957.6</v>
      </c>
      <c r="C33">
        <f t="shared" si="6"/>
        <v>2880</v>
      </c>
      <c r="D33">
        <f t="shared" si="0"/>
        <v>719.99999999999989</v>
      </c>
      <c r="E33" s="5">
        <f t="shared" si="7"/>
        <v>0</v>
      </c>
      <c r="F33" s="5">
        <f t="shared" si="17"/>
        <v>0</v>
      </c>
      <c r="G33" s="9">
        <f t="shared" si="15"/>
        <v>0</v>
      </c>
      <c r="H33" s="5">
        <f t="shared" si="2"/>
        <v>957.6</v>
      </c>
      <c r="I33" s="16">
        <f t="shared" si="18"/>
        <v>12084.129516137269</v>
      </c>
      <c r="J33">
        <f t="shared" si="3"/>
        <v>24</v>
      </c>
      <c r="K33" s="18">
        <f t="shared" si="8"/>
        <v>0</v>
      </c>
      <c r="L33">
        <f t="shared" si="9"/>
        <v>24</v>
      </c>
      <c r="M33" s="18">
        <f t="shared" si="13"/>
        <v>0</v>
      </c>
      <c r="P33" s="24">
        <f t="shared" si="4"/>
        <v>24</v>
      </c>
      <c r="Q33" s="25">
        <f t="shared" si="10"/>
        <v>12084.129516137269</v>
      </c>
    </row>
    <row r="34" spans="1:20" ht="16.5" thickBot="1" x14ac:dyDescent="0.3">
      <c r="A34">
        <f t="shared" si="16"/>
        <v>25</v>
      </c>
      <c r="B34" s="5">
        <f t="shared" si="5"/>
        <v>957.6</v>
      </c>
      <c r="C34">
        <f t="shared" si="6"/>
        <v>2880</v>
      </c>
      <c r="D34">
        <f t="shared" si="0"/>
        <v>719.99999999999989</v>
      </c>
      <c r="E34" s="5">
        <f t="shared" si="7"/>
        <v>0</v>
      </c>
      <c r="F34" s="5">
        <f t="shared" si="17"/>
        <v>0</v>
      </c>
      <c r="G34" s="9">
        <f t="shared" si="15"/>
        <v>0</v>
      </c>
      <c r="H34" s="5">
        <f t="shared" si="2"/>
        <v>957.6</v>
      </c>
      <c r="I34" s="16">
        <f t="shared" si="18"/>
        <v>13041.729516137269</v>
      </c>
      <c r="J34">
        <f t="shared" si="3"/>
        <v>25</v>
      </c>
      <c r="K34" s="18">
        <f t="shared" si="8"/>
        <v>0</v>
      </c>
      <c r="L34">
        <f t="shared" si="9"/>
        <v>25</v>
      </c>
      <c r="M34" s="18">
        <f t="shared" si="13"/>
        <v>0</v>
      </c>
      <c r="P34" s="26">
        <f t="shared" si="4"/>
        <v>25</v>
      </c>
      <c r="Q34" s="27">
        <f t="shared" si="10"/>
        <v>13041.729516137269</v>
      </c>
    </row>
    <row r="35" spans="1:20" ht="19.5" thickBot="1" x14ac:dyDescent="0.35">
      <c r="B35" s="5"/>
      <c r="E35" s="5">
        <f>SUM(E10:E34)</f>
        <v>1699.135241931368</v>
      </c>
      <c r="F35" s="5"/>
      <c r="G35" s="9"/>
      <c r="H35" s="5"/>
      <c r="I35" s="5"/>
      <c r="K35" s="19">
        <f>SUM(K10:K34)</f>
        <v>11</v>
      </c>
      <c r="L35" t="s">
        <v>17</v>
      </c>
      <c r="M35" s="19">
        <f>SUM(M11:M34)</f>
        <v>10</v>
      </c>
      <c r="S35" s="12" t="s">
        <v>28</v>
      </c>
      <c r="T35" s="23">
        <f>$B$4+$B$6*$B$5</f>
        <v>7500</v>
      </c>
    </row>
    <row r="36" spans="1:20" ht="37.5" x14ac:dyDescent="0.3">
      <c r="G36" s="2" t="s">
        <v>25</v>
      </c>
      <c r="H36" s="6">
        <f>I34</f>
        <v>13041.729516137269</v>
      </c>
      <c r="I36" s="1"/>
      <c r="J36" s="10"/>
      <c r="K36" s="11"/>
      <c r="L36" s="6"/>
      <c r="M36" s="20"/>
      <c r="N36" s="6"/>
      <c r="O36" s="6"/>
      <c r="P36" t="s">
        <v>19</v>
      </c>
      <c r="S36" s="22" t="s">
        <v>27</v>
      </c>
      <c r="T36" s="23">
        <f>E35+$B$4+$B$6*$B$5</f>
        <v>9199.135241931368</v>
      </c>
    </row>
    <row r="37" spans="1:20" x14ac:dyDescent="0.25">
      <c r="I37" s="5"/>
      <c r="K37" s="5"/>
    </row>
  </sheetData>
  <mergeCells count="2">
    <mergeCell ref="P9:Q9"/>
    <mergeCell ref="K4:S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and results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Eden</dc:creator>
  <cp:lastModifiedBy>Christine Eden</cp:lastModifiedBy>
  <dcterms:created xsi:type="dcterms:W3CDTF">2023-08-11T15:48:34Z</dcterms:created>
  <dcterms:modified xsi:type="dcterms:W3CDTF">2023-10-18T09:08:17Z</dcterms:modified>
</cp:coreProperties>
</file>